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FStucke\Documents\Spectrum\"/>
    </mc:Choice>
  </mc:AlternateContent>
  <bookViews>
    <workbookView xWindow="-15" yWindow="285" windowWidth="15375" windowHeight="3465"/>
  </bookViews>
  <sheets>
    <sheet name="PtP" sheetId="1" r:id="rId1"/>
    <sheet name="PtMP" sheetId="5" r:id="rId2"/>
    <sheet name="Factors" sheetId="2" r:id="rId3"/>
    <sheet name="Area Costs" sheetId="6" r:id="rId4"/>
  </sheets>
  <calcPr calcId="152511" concurrentCalc="0"/>
</workbook>
</file>

<file path=xl/calcChain.xml><?xml version="1.0" encoding="utf-8"?>
<calcChain xmlns="http://schemas.openxmlformats.org/spreadsheetml/2006/main">
  <c r="E15" i="6" l="1"/>
  <c r="E14" i="6"/>
  <c r="F14" i="6"/>
  <c r="J14" i="6"/>
  <c r="H68" i="2"/>
  <c r="H67" i="2"/>
  <c r="H66" i="2"/>
  <c r="H65" i="2"/>
  <c r="H64" i="2"/>
  <c r="G68" i="2"/>
  <c r="G67" i="2"/>
  <c r="G66" i="2"/>
  <c r="G65" i="2"/>
  <c r="G64" i="2"/>
  <c r="G63" i="2"/>
  <c r="F68" i="2"/>
  <c r="F67" i="2"/>
  <c r="F66" i="2"/>
  <c r="F65" i="2"/>
  <c r="F64" i="2"/>
  <c r="F63" i="2"/>
  <c r="F62" i="2"/>
  <c r="H15" i="6"/>
  <c r="G15" i="6"/>
  <c r="F15" i="6"/>
  <c r="D15" i="6"/>
  <c r="B15" i="6"/>
  <c r="A15" i="6"/>
  <c r="H14" i="6"/>
  <c r="H13" i="6"/>
  <c r="H12" i="6"/>
  <c r="H11" i="6"/>
  <c r="H10" i="6"/>
  <c r="H9" i="6"/>
  <c r="H8" i="6"/>
  <c r="G14" i="6"/>
  <c r="G13" i="6"/>
  <c r="G12" i="6"/>
  <c r="G11" i="6"/>
  <c r="G10" i="6"/>
  <c r="G9" i="6"/>
  <c r="G8" i="6"/>
  <c r="D14" i="6"/>
  <c r="F13" i="6"/>
  <c r="E13" i="6"/>
  <c r="D13" i="6"/>
  <c r="F12" i="6"/>
  <c r="E12" i="6"/>
  <c r="D12" i="6"/>
  <c r="F11" i="6"/>
  <c r="E11" i="6"/>
  <c r="D11" i="6"/>
  <c r="F10" i="6"/>
  <c r="E10" i="6"/>
  <c r="D10" i="6"/>
  <c r="F9" i="6"/>
  <c r="E9" i="6"/>
  <c r="D9" i="6"/>
  <c r="F8" i="6"/>
  <c r="E8" i="6"/>
  <c r="B14" i="6"/>
  <c r="A14" i="6"/>
  <c r="A13" i="6"/>
  <c r="B12" i="6"/>
  <c r="A12" i="6"/>
  <c r="A11" i="6"/>
  <c r="B10" i="6"/>
  <c r="A10" i="6"/>
  <c r="A9" i="6"/>
  <c r="H18" i="5"/>
  <c r="D8" i="6"/>
  <c r="F18" i="5"/>
  <c r="A8" i="6"/>
  <c r="B8" i="6"/>
  <c r="A4" i="6"/>
  <c r="B13" i="6"/>
  <c r="B9" i="6"/>
  <c r="B11" i="6"/>
  <c r="H10" i="2"/>
  <c r="I18" i="5"/>
  <c r="H13" i="5"/>
  <c r="F13" i="5"/>
  <c r="J18" i="5"/>
  <c r="G18" i="5"/>
  <c r="D18" i="5"/>
  <c r="C18" i="5"/>
  <c r="H13" i="1"/>
  <c r="J18" i="1"/>
  <c r="F13" i="1"/>
  <c r="I18" i="1"/>
  <c r="H18" i="1"/>
  <c r="G18" i="1"/>
  <c r="F18" i="1"/>
  <c r="D18" i="1"/>
  <c r="C18" i="1"/>
  <c r="B15" i="2"/>
  <c r="B14" i="2"/>
  <c r="B13" i="2"/>
  <c r="B12" i="2"/>
  <c r="B11" i="2"/>
  <c r="B10" i="2"/>
  <c r="B9" i="2"/>
  <c r="B8" i="2"/>
  <c r="E18" i="1"/>
  <c r="A19" i="1"/>
  <c r="C8" i="6"/>
  <c r="J8" i="6"/>
  <c r="N8" i="6"/>
  <c r="O8" i="6"/>
  <c r="P8" i="6"/>
  <c r="C15" i="6"/>
  <c r="J15" i="6"/>
  <c r="N15" i="6"/>
  <c r="O15" i="6"/>
  <c r="P15" i="6"/>
  <c r="C14" i="6"/>
  <c r="N14" i="6"/>
  <c r="O14" i="6"/>
  <c r="P14" i="6"/>
  <c r="C12" i="6"/>
  <c r="J12" i="6"/>
  <c r="N12" i="6"/>
  <c r="O12" i="6"/>
  <c r="P12" i="6"/>
  <c r="C10" i="6"/>
  <c r="J10" i="6"/>
  <c r="N10" i="6"/>
  <c r="O10" i="6"/>
  <c r="P10" i="6"/>
  <c r="C13" i="6"/>
  <c r="J13" i="6"/>
  <c r="N13" i="6"/>
  <c r="O13" i="6"/>
  <c r="P13" i="6"/>
  <c r="C11" i="6"/>
  <c r="J11" i="6"/>
  <c r="N11" i="6"/>
  <c r="O11" i="6"/>
  <c r="P11" i="6"/>
  <c r="C9" i="6"/>
  <c r="J9" i="6"/>
  <c r="N9" i="6"/>
  <c r="O9" i="6"/>
  <c r="P9" i="6"/>
  <c r="E18" i="5"/>
  <c r="A18" i="5"/>
  <c r="D21" i="5"/>
  <c r="J13" i="1"/>
  <c r="A18" i="1"/>
  <c r="C22" i="1"/>
  <c r="C24" i="1"/>
</calcChain>
</file>

<file path=xl/comments1.xml><?xml version="1.0" encoding="utf-8"?>
<comments xmlns="http://schemas.openxmlformats.org/spreadsheetml/2006/main">
  <authors>
    <author>William Stucke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William Stucke:</t>
        </r>
        <r>
          <rPr>
            <sz val="9"/>
            <color indexed="81"/>
            <rFont val="Tahoma"/>
            <family val="2"/>
          </rPr>
          <t xml:space="preserve">
Mouse over a cell to see comments and explanations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William Stucke:</t>
        </r>
        <r>
          <rPr>
            <sz val="9"/>
            <color indexed="81"/>
            <rFont val="Tahoma"/>
            <family val="2"/>
          </rPr>
          <t xml:space="preserve">
The width of the channel to be used, in MHz. If paired channels are used, then this is the width of one of them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>William Stucke:</t>
        </r>
        <r>
          <rPr>
            <sz val="9"/>
            <color indexed="81"/>
            <rFont val="Tahoma"/>
            <family val="2"/>
          </rPr>
          <t xml:space="preserve">
Enter the actual frequency to be used. If the incorrect band is chosen by the HOPMINI factor below, then enter a slightly higher frequency.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</rPr>
          <t>William Stucke:</t>
        </r>
        <r>
          <rPr>
            <sz val="9"/>
            <color indexed="81"/>
            <rFont val="Tahoma"/>
            <family val="2"/>
          </rPr>
          <t xml:space="preserve">
Is this High Demand Spectrum, that is subject to a special process for assignment by ICASA, which may include an Auction?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William Stucke:</t>
        </r>
        <r>
          <rPr>
            <sz val="9"/>
            <color indexed="81"/>
            <rFont val="Tahoma"/>
            <family val="2"/>
          </rPr>
          <t xml:space="preserve">
Does any part of the coverage area include Gauteng, or the Cape Town metro or the Durban metro?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William Stucke:</t>
        </r>
        <r>
          <rPr>
            <sz val="9"/>
            <color indexed="81"/>
            <rFont val="Tahoma"/>
            <family val="2"/>
          </rPr>
          <t xml:space="preserve">
Shared usage means non-exclusive usage, and self coordination between the users. A discount is offered to compensate for this.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William Stucke:</t>
        </r>
        <r>
          <rPr>
            <sz val="9"/>
            <color indexed="81"/>
            <rFont val="Tahoma"/>
            <family val="2"/>
          </rPr>
          <t xml:space="preserve">
Most telecommunications uses are bidirectional, but some exceptions exist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William Stucke:</t>
        </r>
        <r>
          <rPr>
            <sz val="9"/>
            <color indexed="81"/>
            <rFont val="Tahoma"/>
            <family val="2"/>
          </rPr>
          <t xml:space="preserve">
From the point of view of efficient use of spectrum, shorter links should use a higher frequency. A penalty is payable if the hop length is too short, otherwise the value of this factor is 1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William Stucke:</t>
        </r>
        <r>
          <rPr>
            <sz val="9"/>
            <color indexed="81"/>
            <rFont val="Tahoma"/>
            <family val="2"/>
          </rPr>
          <t xml:space="preserve">
This does not correctly select the </t>
        </r>
        <r>
          <rPr>
            <b/>
            <sz val="9"/>
            <color indexed="81"/>
            <rFont val="Tahoma"/>
            <family val="2"/>
          </rPr>
          <t>NEXT HIGHER</t>
        </r>
        <r>
          <rPr>
            <sz val="9"/>
            <color indexed="81"/>
            <rFont val="Tahoma"/>
            <family val="2"/>
          </rPr>
          <t xml:space="preserve"> band for the HOPMINI factor if an unlisted band is entered, e.g. 27 GHz, which is actually part of the 28 GHz band. Fix by entering a higher frequency in Cell C9
Corrected by inserting extra value</t>
        </r>
      </text>
    </comment>
    <comment ref="A18" authorId="0" shapeId="0">
      <text>
        <r>
          <rPr>
            <b/>
            <sz val="9"/>
            <color indexed="81"/>
            <rFont val="Tahoma"/>
            <family val="2"/>
          </rPr>
          <t>William Stucke:</t>
        </r>
        <r>
          <rPr>
            <sz val="9"/>
            <color indexed="81"/>
            <rFont val="Tahoma"/>
            <family val="2"/>
          </rPr>
          <t xml:space="preserve">
This is how much you need to pay.
Minimum value of R120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William Stucke:</t>
        </r>
        <r>
          <rPr>
            <sz val="9"/>
            <color indexed="81"/>
            <rFont val="Tahoma"/>
            <family val="2"/>
          </rPr>
          <t xml:space="preserve">
Product: Multiply all these terms together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</rPr>
          <t>William Stucke:</t>
        </r>
        <r>
          <rPr>
            <sz val="9"/>
            <color indexed="81"/>
            <rFont val="Tahoma"/>
            <family val="2"/>
          </rPr>
          <t xml:space="preserve">
Amount ignoring minimum fee</t>
        </r>
      </text>
    </comment>
  </commentList>
</comments>
</file>

<file path=xl/comments2.xml><?xml version="1.0" encoding="utf-8"?>
<comments xmlns="http://schemas.openxmlformats.org/spreadsheetml/2006/main">
  <authors>
    <author>William Stucke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William Stucke:</t>
        </r>
        <r>
          <rPr>
            <sz val="9"/>
            <color indexed="81"/>
            <rFont val="Tahoma"/>
            <family val="2"/>
          </rPr>
          <t xml:space="preserve">
Mouse over a cell to see comments and explanations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William Stucke:</t>
        </r>
        <r>
          <rPr>
            <sz val="9"/>
            <color indexed="81"/>
            <rFont val="Tahoma"/>
            <family val="2"/>
          </rPr>
          <t xml:space="preserve">
The width of the channel to be used, in MHz. If paired channels are used, then this is the width of one of them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>William Stucke:</t>
        </r>
        <r>
          <rPr>
            <sz val="9"/>
            <color indexed="81"/>
            <rFont val="Tahoma"/>
            <family val="2"/>
          </rPr>
          <t xml:space="preserve">
Enter the actual frequency to be used. If the incorrect band is chosen by the HOPMINI factor below, then enter a slightly higher frequency.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</rPr>
          <t>William Stucke:</t>
        </r>
        <r>
          <rPr>
            <sz val="9"/>
            <color indexed="81"/>
            <rFont val="Tahoma"/>
            <family val="2"/>
          </rPr>
          <t xml:space="preserve">
Is this High Demand Spectrum, that is subject to a special process for assignment by ICASA, which may include an Auction?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William Stucke:</t>
        </r>
        <r>
          <rPr>
            <sz val="9"/>
            <color indexed="81"/>
            <rFont val="Tahoma"/>
            <family val="2"/>
          </rPr>
          <t xml:space="preserve">
Does any part of the coverage area include Gauteng, or the Cape Town metro or the Durban metro? National coverage automatically means "Yes" here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William Stucke:</t>
        </r>
        <r>
          <rPr>
            <sz val="9"/>
            <color indexed="81"/>
            <rFont val="Tahoma"/>
            <family val="2"/>
          </rPr>
          <t xml:space="preserve">
Shared usage means non-exclusive usage, and self coordination between the users. A discount is offered to compensate for this.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William Stucke:</t>
        </r>
        <r>
          <rPr>
            <sz val="9"/>
            <color indexed="81"/>
            <rFont val="Tahoma"/>
            <family val="2"/>
          </rPr>
          <t xml:space="preserve">
Most telecommunications uses are bidirectional, but some exceptions exist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William Stucke:</t>
        </r>
        <r>
          <rPr>
            <sz val="9"/>
            <color indexed="81"/>
            <rFont val="Tahoma"/>
            <family val="2"/>
          </rPr>
          <t xml:space="preserve">
The nominal coverage area with a signal level at 60 dBuV/m or higher, ignoring topography.
National Coverage ~= 1,200,000 km2
Gauteng is 18,178 km2, for example</t>
        </r>
      </text>
    </comment>
    <comment ref="A18" authorId="0" shapeId="0">
      <text>
        <r>
          <rPr>
            <b/>
            <sz val="9"/>
            <color indexed="81"/>
            <rFont val="Tahoma"/>
            <family val="2"/>
          </rPr>
          <t>William Stucke:</t>
        </r>
        <r>
          <rPr>
            <sz val="9"/>
            <color indexed="81"/>
            <rFont val="Tahoma"/>
            <family val="2"/>
          </rPr>
          <t xml:space="preserve">
This is how much you need to pay.
Minimum Fee = R120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William Stucke:</t>
        </r>
        <r>
          <rPr>
            <sz val="9"/>
            <color indexed="81"/>
            <rFont val="Tahoma"/>
            <family val="2"/>
          </rPr>
          <t xml:space="preserve">
Product: Multiply all these terms together</t>
        </r>
      </text>
    </comment>
  </commentList>
</comments>
</file>

<file path=xl/comments3.xml><?xml version="1.0" encoding="utf-8"?>
<comments xmlns="http://schemas.openxmlformats.org/spreadsheetml/2006/main">
  <authors>
    <author>William Stucke</author>
  </authors>
  <commentList>
    <comment ref="F62" authorId="0" shapeId="0">
      <text>
        <r>
          <rPr>
            <b/>
            <sz val="9"/>
            <color indexed="81"/>
            <rFont val="Tahoma"/>
            <family val="2"/>
          </rPr>
          <t>William Stucke:</t>
        </r>
        <r>
          <rPr>
            <sz val="9"/>
            <color indexed="81"/>
            <rFont val="Tahoma"/>
            <family val="2"/>
          </rPr>
          <t xml:space="preserve">
This is the ratio between the ASTER factor for this sized area and the next lower sized area</t>
        </r>
      </text>
    </comment>
    <comment ref="G63" authorId="0" shapeId="0">
      <text>
        <r>
          <rPr>
            <b/>
            <sz val="9"/>
            <color indexed="81"/>
            <rFont val="Tahoma"/>
            <family val="2"/>
          </rPr>
          <t>William Stucke:</t>
        </r>
        <r>
          <rPr>
            <sz val="9"/>
            <color indexed="81"/>
            <rFont val="Tahoma"/>
            <family val="2"/>
          </rPr>
          <t xml:space="preserve">
This is the ratio between the ASTER factor for this sized area and the next but one lower sized area</t>
        </r>
      </text>
    </comment>
  </commentList>
</comments>
</file>

<file path=xl/sharedStrings.xml><?xml version="1.0" encoding="utf-8"?>
<sst xmlns="http://schemas.openxmlformats.org/spreadsheetml/2006/main" count="170" uniqueCount="93">
  <si>
    <t>UNIT</t>
  </si>
  <si>
    <t>BW</t>
  </si>
  <si>
    <t>FREQ</t>
  </si>
  <si>
    <t>FROM</t>
  </si>
  <si>
    <t>TO</t>
  </si>
  <si>
    <t>CG</t>
  </si>
  <si>
    <t>Congested</t>
  </si>
  <si>
    <t>CG Factor</t>
  </si>
  <si>
    <t>Yes</t>
  </si>
  <si>
    <t>No</t>
  </si>
  <si>
    <t>GEO</t>
  </si>
  <si>
    <t>High Density</t>
  </si>
  <si>
    <t>Low Density</t>
  </si>
  <si>
    <t>GEO AREA</t>
  </si>
  <si>
    <t>FREQ Factor</t>
  </si>
  <si>
    <t>GEO Factor</t>
  </si>
  <si>
    <t>SHR</t>
  </si>
  <si>
    <t>SHARING</t>
  </si>
  <si>
    <t>SHR Factor</t>
  </si>
  <si>
    <t>Exclusive Use</t>
  </si>
  <si>
    <t>Shared Use</t>
  </si>
  <si>
    <t>UNIBI</t>
  </si>
  <si>
    <t>Fee =</t>
  </si>
  <si>
    <t>HOPMINI</t>
  </si>
  <si>
    <t>Calculating Point to Point Spectrum Fees</t>
  </si>
  <si>
    <t>Frequency</t>
  </si>
  <si>
    <t>(MHz)</t>
  </si>
  <si>
    <t>Bandwidth</t>
  </si>
  <si>
    <t>Hop Length</t>
  </si>
  <si>
    <t>= Π (</t>
  </si>
  <si>
    <t>High Density Geographic Area?</t>
  </si>
  <si>
    <t>Unidirectional?</t>
  </si>
  <si>
    <t>Shared Usage?</t>
  </si>
  <si>
    <t>km</t>
  </si>
  <si>
    <t>PtP Factor</t>
  </si>
  <si>
    <t>PtMP factor</t>
  </si>
  <si>
    <t>Unidirectional</t>
  </si>
  <si>
    <t>Bidirectional</t>
  </si>
  <si>
    <t>Yes / No</t>
  </si>
  <si>
    <t>Low / High</t>
  </si>
  <si>
    <t>Exclusive / Shared</t>
  </si>
  <si>
    <t>Bi- / Uni-</t>
  </si>
  <si>
    <t>BAND (MHz)</t>
  </si>
  <si>
    <t>PATH (km)</t>
  </si>
  <si>
    <t>Band Selected</t>
  </si>
  <si>
    <t>Minimum Hop</t>
  </si>
  <si>
    <t>Factor</t>
  </si>
  <si>
    <t>Calculating Point to Area Spectrum Fees</t>
  </si>
  <si>
    <t>Area Sterilised</t>
  </si>
  <si>
    <t>ASTER</t>
  </si>
  <si>
    <t xml:space="preserve">Minimum </t>
  </si>
  <si>
    <t>Maximum</t>
  </si>
  <si>
    <t>ASTER Factor</t>
  </si>
  <si>
    <t>Area Selected</t>
  </si>
  <si>
    <t xml:space="preserve">  )</t>
  </si>
  <si>
    <t>Mouse over a cell to see comments and explanations</t>
  </si>
  <si>
    <t>Area factor</t>
  </si>
  <si>
    <t>Minimum Fee</t>
  </si>
  <si>
    <t>ANNUAL SPECTRUM FEE =</t>
  </si>
  <si>
    <t>UNIT  *</t>
  </si>
  <si>
    <t>BW  *</t>
  </si>
  <si>
    <t>FREQ  *</t>
  </si>
  <si>
    <t>CG  *</t>
  </si>
  <si>
    <t>GEO  *</t>
  </si>
  <si>
    <t>SHR  *</t>
  </si>
  <si>
    <t>UNIBI  *</t>
  </si>
  <si>
    <t>High Demand Spectrum?</t>
  </si>
  <si>
    <t>Last Update</t>
  </si>
  <si>
    <t>WFS</t>
  </si>
  <si>
    <t>Minimum Fee, conditional formatting and cosmetic</t>
  </si>
  <si>
    <r>
      <t>km</t>
    </r>
    <r>
      <rPr>
        <vertAlign val="superscript"/>
        <sz val="16"/>
        <color theme="1"/>
        <rFont val="Calibri"/>
        <family val="2"/>
        <scheme val="minor"/>
      </rPr>
      <t>2</t>
    </r>
  </si>
  <si>
    <t>Pro-rata Period</t>
  </si>
  <si>
    <t>months</t>
  </si>
  <si>
    <t>Pro-rata Spectrum Fee</t>
  </si>
  <si>
    <t>FEE</t>
  </si>
  <si>
    <t>PtMP Spectrum Licence Fees for various sizes of Area</t>
  </si>
  <si>
    <r>
      <t>AREA &lt; x km</t>
    </r>
    <r>
      <rPr>
        <b/>
        <vertAlign val="superscript"/>
        <sz val="16"/>
        <color theme="1"/>
        <rFont val="Calibri"/>
        <family val="2"/>
        <scheme val="minor"/>
      </rPr>
      <t>2</t>
    </r>
    <r>
      <rPr>
        <b/>
        <sz val="16"/>
        <color theme="1"/>
        <rFont val="Calibri"/>
        <family val="2"/>
        <scheme val="minor"/>
      </rPr>
      <t xml:space="preserve"> </t>
    </r>
  </si>
  <si>
    <r>
      <t>R / km</t>
    </r>
    <r>
      <rPr>
        <b/>
        <vertAlign val="superscript"/>
        <sz val="16"/>
        <color theme="1"/>
        <rFont val="Calibri"/>
        <family val="2"/>
        <scheme val="minor"/>
      </rPr>
      <t>2</t>
    </r>
    <r>
      <rPr>
        <b/>
        <sz val="16"/>
        <color theme="1"/>
        <rFont val="Calibri"/>
        <family val="2"/>
        <scheme val="minor"/>
      </rPr>
      <t xml:space="preserve"> </t>
    </r>
  </si>
  <si>
    <t>Ratio</t>
  </si>
  <si>
    <t>Two Up</t>
  </si>
  <si>
    <t>Three Up</t>
  </si>
  <si>
    <t>devices</t>
  </si>
  <si>
    <t>Equivalent individual LMR licences @ R120 each</t>
  </si>
  <si>
    <r>
      <t xml:space="preserve">To calculate PtP Spectrum fees, enter the </t>
    </r>
    <r>
      <rPr>
        <b/>
        <sz val="12"/>
        <color theme="1"/>
        <rFont val="Calibri"/>
        <family val="2"/>
        <scheme val="minor"/>
      </rPr>
      <t>bandwidth,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frequency</t>
    </r>
    <r>
      <rPr>
        <sz val="12"/>
        <color theme="1"/>
        <rFont val="Calibri"/>
        <family val="2"/>
        <scheme val="minor"/>
      </rPr>
      <t xml:space="preserve"> and </t>
    </r>
    <r>
      <rPr>
        <b/>
        <sz val="12"/>
        <color theme="1"/>
        <rFont val="Calibri"/>
        <family val="2"/>
        <scheme val="minor"/>
      </rPr>
      <t>hop length</t>
    </r>
    <r>
      <rPr>
        <sz val="12"/>
        <color theme="1"/>
        <rFont val="Calibri"/>
        <family val="2"/>
        <scheme val="minor"/>
      </rPr>
      <t xml:space="preserve"> in the </t>
    </r>
    <r>
      <rPr>
        <b/>
        <u/>
        <sz val="12"/>
        <color rgb="FFFFFF00"/>
        <rFont val="Calibri"/>
        <family val="2"/>
        <scheme val="minor"/>
      </rPr>
      <t>yellow</t>
    </r>
    <r>
      <rPr>
        <sz val="12"/>
        <color theme="1"/>
        <rFont val="Calibri"/>
        <family val="2"/>
        <scheme val="minor"/>
      </rPr>
      <t xml:space="preserve"> cells</t>
    </r>
  </si>
  <si>
    <r>
      <t xml:space="preserve">Then select the appropriate answers for the </t>
    </r>
    <r>
      <rPr>
        <b/>
        <u/>
        <sz val="12"/>
        <color rgb="FF00B050"/>
        <rFont val="Calibri"/>
        <family val="2"/>
        <scheme val="minor"/>
      </rPr>
      <t>green</t>
    </r>
    <r>
      <rPr>
        <sz val="12"/>
        <color theme="1"/>
        <rFont val="Calibri"/>
        <family val="2"/>
        <scheme val="minor"/>
      </rPr>
      <t xml:space="preserve"> cells, using the drop-down</t>
    </r>
  </si>
  <si>
    <r>
      <t xml:space="preserve">Then select the appropriate answers for the </t>
    </r>
    <r>
      <rPr>
        <b/>
        <u/>
        <sz val="12"/>
        <color rgb="FF00B050"/>
        <rFont val="Calibri"/>
        <family val="2"/>
        <scheme val="minor"/>
      </rPr>
      <t>green</t>
    </r>
    <r>
      <rPr>
        <sz val="12"/>
        <color theme="1"/>
        <rFont val="Calibri"/>
        <family val="2"/>
        <scheme val="minor"/>
      </rPr>
      <t xml:space="preserve"> cells, using the drop-down list</t>
    </r>
  </si>
  <si>
    <t>Number of PtP links equating to Area fee. Set same parameters as here for valid results</t>
  </si>
  <si>
    <r>
      <t xml:space="preserve">To calculate PtMP Spectrum fees, enter the </t>
    </r>
    <r>
      <rPr>
        <b/>
        <sz val="12"/>
        <color theme="1"/>
        <rFont val="Calibri"/>
        <family val="2"/>
        <scheme val="minor"/>
      </rPr>
      <t>bandwidth,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frequency</t>
    </r>
    <r>
      <rPr>
        <sz val="12"/>
        <color theme="1"/>
        <rFont val="Calibri"/>
        <family val="2"/>
        <scheme val="minor"/>
      </rPr>
      <t xml:space="preserve"> and </t>
    </r>
    <r>
      <rPr>
        <b/>
        <sz val="12"/>
        <color theme="1"/>
        <rFont val="Calibri"/>
        <family val="2"/>
        <scheme val="minor"/>
      </rPr>
      <t>area sterilised</t>
    </r>
    <r>
      <rPr>
        <sz val="12"/>
        <color theme="1"/>
        <rFont val="Calibri"/>
        <family val="2"/>
        <scheme val="minor"/>
      </rPr>
      <t xml:space="preserve"> in the </t>
    </r>
    <r>
      <rPr>
        <b/>
        <u/>
        <sz val="12"/>
        <color rgb="FFFFFF00"/>
        <rFont val="Calibri"/>
        <family val="2"/>
        <scheme val="minor"/>
      </rPr>
      <t>yellow</t>
    </r>
    <r>
      <rPr>
        <sz val="12"/>
        <color theme="1"/>
        <rFont val="Calibri"/>
        <family val="2"/>
        <scheme val="minor"/>
      </rPr>
      <t xml:space="preserve"> cells</t>
    </r>
  </si>
  <si>
    <t>LMR = Land Mobile Radio ~ "Walkie-Talkie" radios</t>
  </si>
  <si>
    <t>Spreadsheet developed by William Stucke when an ICASA Councillor</t>
  </si>
  <si>
    <t>William@stucke.co.za</t>
  </si>
  <si>
    <t>Table Values from ICASA Radio Frequency Spectrum Fees Regulations, 2010. GG 33495</t>
  </si>
  <si>
    <t>Line added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</si>
</sst>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R&quot;\ #,##0;[Red]&quot;R&quot;\ \-#,##0"/>
    <numFmt numFmtId="8" formatCode="&quot;R&quot;\ #,##0.00;[Red]&quot;R&quot;\ \-#,##0.00"/>
    <numFmt numFmtId="164" formatCode="&quot;R&quot;\ #,##0.00"/>
    <numFmt numFmtId="165" formatCode="#,##0.0"/>
    <numFmt numFmtId="166" formatCode="#,##0_ ;[Red]\-#,##0\ "/>
    <numFmt numFmtId="167" formatCode="[$£-809]#,##0.00;[Red]\-[$£-809]#,##0.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perscript"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6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rgb="FFFFFF00"/>
      <name val="Calibri"/>
      <family val="2"/>
      <scheme val="minor"/>
    </font>
    <font>
      <b/>
      <u/>
      <sz val="12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47">
    <xf numFmtId="0" fontId="0" fillId="0" borderId="0" xfId="0"/>
    <xf numFmtId="164" fontId="0" fillId="0" borderId="0" xfId="0" applyNumberFormat="1"/>
    <xf numFmtId="3" fontId="0" fillId="0" borderId="0" xfId="0" applyNumberFormat="1"/>
    <xf numFmtId="4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7" fillId="0" borderId="0" xfId="0" applyFont="1"/>
    <xf numFmtId="14" fontId="0" fillId="0" borderId="0" xfId="0" applyNumberFormat="1"/>
    <xf numFmtId="0" fontId="8" fillId="0" borderId="0" xfId="0" applyFont="1"/>
    <xf numFmtId="0" fontId="8" fillId="2" borderId="0" xfId="0" applyNumberFormat="1" applyFont="1" applyFill="1"/>
    <xf numFmtId="3" fontId="8" fillId="2" borderId="0" xfId="0" applyNumberFormat="1" applyFont="1" applyFill="1"/>
    <xf numFmtId="0" fontId="8" fillId="3" borderId="0" xfId="0" applyFont="1" applyFill="1"/>
    <xf numFmtId="3" fontId="8" fillId="0" borderId="0" xfId="0" applyNumberFormat="1" applyFont="1"/>
    <xf numFmtId="0" fontId="10" fillId="0" borderId="0" xfId="0" applyFont="1"/>
    <xf numFmtId="8" fontId="7" fillId="0" borderId="0" xfId="0" applyNumberFormat="1" applyFont="1"/>
    <xf numFmtId="8" fontId="11" fillId="0" borderId="0" xfId="0" quotePrefix="1" applyNumberFormat="1" applyFont="1" applyAlignment="1">
      <alignment horizontal="center"/>
    </xf>
    <xf numFmtId="8" fontId="8" fillId="0" borderId="1" xfId="0" applyNumberFormat="1" applyFont="1" applyFill="1" applyBorder="1"/>
    <xf numFmtId="0" fontId="8" fillId="0" borderId="2" xfId="0" applyFont="1" applyFill="1" applyBorder="1"/>
    <xf numFmtId="0" fontId="8" fillId="0" borderId="3" xfId="0" applyFont="1" applyFill="1" applyBorder="1"/>
    <xf numFmtId="0" fontId="7" fillId="0" borderId="0" xfId="0" quotePrefix="1" applyFont="1"/>
    <xf numFmtId="0" fontId="8" fillId="2" borderId="0" xfId="0" applyFont="1" applyFill="1"/>
    <xf numFmtId="8" fontId="12" fillId="0" borderId="0" xfId="0" applyNumberFormat="1" applyFont="1"/>
    <xf numFmtId="0" fontId="13" fillId="0" borderId="0" xfId="0" applyFont="1"/>
    <xf numFmtId="0" fontId="13" fillId="2" borderId="0" xfId="0" applyFont="1" applyFill="1"/>
    <xf numFmtId="8" fontId="14" fillId="0" borderId="0" xfId="0" applyNumberFormat="1" applyFont="1"/>
    <xf numFmtId="6" fontId="14" fillId="4" borderId="0" xfId="0" applyNumberFormat="1" applyFont="1" applyFill="1"/>
    <xf numFmtId="165" fontId="0" fillId="0" borderId="0" xfId="0" applyNumberFormat="1"/>
    <xf numFmtId="8" fontId="0" fillId="0" borderId="0" xfId="0" applyNumberFormat="1"/>
    <xf numFmtId="166" fontId="1" fillId="0" borderId="0" xfId="0" applyNumberFormat="1" applyFont="1"/>
    <xf numFmtId="167" fontId="0" fillId="0" borderId="0" xfId="0" applyNumberFormat="1"/>
    <xf numFmtId="3" fontId="16" fillId="0" borderId="0" xfId="0" applyNumberFormat="1" applyFont="1"/>
    <xf numFmtId="0" fontId="0" fillId="2" borderId="0" xfId="0" applyFont="1" applyFill="1"/>
    <xf numFmtId="0" fontId="0" fillId="3" borderId="0" xfId="0" applyFont="1" applyFill="1"/>
    <xf numFmtId="0" fontId="12" fillId="0" borderId="0" xfId="0" applyFont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8" fillId="0" borderId="11" xfId="0" applyFont="1" applyBorder="1"/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0" xfId="1" applyFont="1"/>
  </cellXfs>
  <cellStyles count="2">
    <cellStyle name="Hyperlink" xfId="1" builtinId="8"/>
    <cellStyle name="Normal" xfId="0" builtinId="0"/>
  </cellStyles>
  <dxfs count="3"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illiam@stucke.co.za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William@stucke.co.za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William@stucke.co.za" TargetMode="Externa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William@stucke.co.z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E23" sqref="E23"/>
    </sheetView>
  </sheetViews>
  <sheetFormatPr defaultRowHeight="15" x14ac:dyDescent="0.25"/>
  <cols>
    <col min="1" max="1" width="38.7109375" customWidth="1"/>
    <col min="2" max="2" width="12.7109375" customWidth="1"/>
    <col min="3" max="3" width="16.7109375" customWidth="1"/>
    <col min="4" max="4" width="8.7109375" customWidth="1"/>
    <col min="5" max="5" width="10.7109375" customWidth="1"/>
    <col min="6" max="6" width="12.7109375" customWidth="1"/>
    <col min="7" max="10" width="8.7109375" customWidth="1"/>
    <col min="11" max="11" width="4.42578125" customWidth="1"/>
    <col min="14" max="14" width="11.42578125" customWidth="1"/>
  </cols>
  <sheetData>
    <row r="1" spans="1:11" ht="18.75" x14ac:dyDescent="0.3">
      <c r="A1" s="6" t="s">
        <v>24</v>
      </c>
      <c r="B1" s="6"/>
    </row>
    <row r="3" spans="1:11" ht="15.75" x14ac:dyDescent="0.25">
      <c r="A3" s="35" t="s">
        <v>83</v>
      </c>
    </row>
    <row r="4" spans="1:11" ht="15.75" x14ac:dyDescent="0.25">
      <c r="A4" s="35" t="s">
        <v>85</v>
      </c>
    </row>
    <row r="5" spans="1:11" ht="15.75" x14ac:dyDescent="0.25">
      <c r="A5" s="35" t="s">
        <v>55</v>
      </c>
    </row>
    <row r="7" spans="1:11" ht="21" customHeight="1" x14ac:dyDescent="0.35">
      <c r="A7" s="10" t="s">
        <v>27</v>
      </c>
      <c r="B7" s="8" t="s">
        <v>1</v>
      </c>
      <c r="C7" s="11">
        <v>20</v>
      </c>
      <c r="D7" s="10" t="s">
        <v>26</v>
      </c>
      <c r="E7" s="10"/>
      <c r="F7" s="10"/>
      <c r="G7" s="10"/>
      <c r="H7" s="10"/>
      <c r="I7" s="10"/>
      <c r="J7" s="10"/>
      <c r="K7" s="10"/>
    </row>
    <row r="8" spans="1:11" ht="21" customHeight="1" x14ac:dyDescent="0.35">
      <c r="A8" s="10" t="s">
        <v>25</v>
      </c>
      <c r="B8" s="8" t="s">
        <v>2</v>
      </c>
      <c r="C8" s="12">
        <v>17000</v>
      </c>
      <c r="D8" s="10" t="s">
        <v>26</v>
      </c>
      <c r="E8" s="10"/>
      <c r="F8" s="10"/>
      <c r="G8" s="10"/>
      <c r="H8" s="10"/>
      <c r="I8" s="10"/>
      <c r="J8" s="10"/>
      <c r="K8" s="10"/>
    </row>
    <row r="9" spans="1:11" ht="21" customHeight="1" x14ac:dyDescent="0.35">
      <c r="A9" s="10" t="s">
        <v>66</v>
      </c>
      <c r="B9" s="8" t="s">
        <v>5</v>
      </c>
      <c r="C9" s="13" t="s">
        <v>8</v>
      </c>
      <c r="D9" s="10" t="s">
        <v>38</v>
      </c>
      <c r="E9" s="10"/>
      <c r="F9" s="10"/>
      <c r="G9" s="10"/>
      <c r="H9" s="10"/>
    </row>
    <row r="10" spans="1:11" ht="21" customHeight="1" x14ac:dyDescent="0.35">
      <c r="A10" s="10" t="s">
        <v>30</v>
      </c>
      <c r="B10" s="8" t="s">
        <v>10</v>
      </c>
      <c r="C10" s="13" t="s">
        <v>11</v>
      </c>
      <c r="D10" s="10" t="s">
        <v>39</v>
      </c>
      <c r="E10" s="10"/>
      <c r="F10" s="10"/>
      <c r="G10" s="10"/>
      <c r="H10" s="10"/>
      <c r="I10" s="10"/>
      <c r="J10" s="10"/>
      <c r="K10" s="10"/>
    </row>
    <row r="11" spans="1:11" ht="21" customHeight="1" x14ac:dyDescent="0.35">
      <c r="A11" s="10" t="s">
        <v>32</v>
      </c>
      <c r="B11" s="8" t="s">
        <v>16</v>
      </c>
      <c r="C11" s="13" t="s">
        <v>19</v>
      </c>
      <c r="D11" s="10" t="s">
        <v>40</v>
      </c>
      <c r="E11" s="10"/>
      <c r="F11" s="10"/>
      <c r="G11" s="10"/>
      <c r="H11" s="10"/>
      <c r="I11" s="10"/>
      <c r="J11" s="10"/>
      <c r="K11" s="10"/>
    </row>
    <row r="12" spans="1:11" ht="21" customHeight="1" x14ac:dyDescent="0.35">
      <c r="A12" s="10" t="s">
        <v>31</v>
      </c>
      <c r="B12" s="8" t="s">
        <v>21</v>
      </c>
      <c r="C12" s="13" t="s">
        <v>37</v>
      </c>
      <c r="D12" s="10" t="s">
        <v>41</v>
      </c>
      <c r="E12" s="10"/>
      <c r="F12" s="36" t="s">
        <v>44</v>
      </c>
      <c r="G12" s="37"/>
      <c r="H12" s="36" t="s">
        <v>45</v>
      </c>
      <c r="I12" s="40"/>
      <c r="J12" s="42" t="s">
        <v>46</v>
      </c>
      <c r="K12" s="10"/>
    </row>
    <row r="13" spans="1:11" ht="21" customHeight="1" x14ac:dyDescent="0.35">
      <c r="A13" s="10" t="s">
        <v>28</v>
      </c>
      <c r="B13" s="8" t="s">
        <v>23</v>
      </c>
      <c r="C13" s="22">
        <v>5</v>
      </c>
      <c r="D13" s="10" t="s">
        <v>33</v>
      </c>
      <c r="E13" s="10"/>
      <c r="F13" s="38">
        <f>VLOOKUP(C8,Factors!B35:D58,1)</f>
        <v>17000</v>
      </c>
      <c r="G13" s="39"/>
      <c r="H13" s="38">
        <f>VLOOKUP(C8,Factors!B35:D58,3)</f>
        <v>4</v>
      </c>
      <c r="I13" s="41" t="s">
        <v>33</v>
      </c>
      <c r="J13" s="43">
        <f>SQRT(H13/C13)</f>
        <v>0.89442719099991586</v>
      </c>
      <c r="K13" s="10"/>
    </row>
    <row r="14" spans="1:11" ht="21" x14ac:dyDescent="0.3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21" x14ac:dyDescent="0.35">
      <c r="A15" s="8" t="s">
        <v>22</v>
      </c>
      <c r="B15" s="10"/>
      <c r="C15" s="15" t="s">
        <v>59</v>
      </c>
      <c r="D15" s="15" t="s">
        <v>60</v>
      </c>
      <c r="E15" s="15" t="s">
        <v>61</v>
      </c>
      <c r="F15" s="15" t="s">
        <v>62</v>
      </c>
      <c r="G15" s="15" t="s">
        <v>63</v>
      </c>
      <c r="H15" s="15" t="s">
        <v>64</v>
      </c>
      <c r="I15" s="15" t="s">
        <v>65</v>
      </c>
      <c r="J15" s="15" t="s">
        <v>23</v>
      </c>
      <c r="K15" s="10"/>
    </row>
    <row r="16" spans="1:11" ht="21" x14ac:dyDescent="0.3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4" ht="21.75" thickBot="1" x14ac:dyDescent="0.4">
      <c r="A17" s="8" t="s">
        <v>58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4" ht="22.5" thickTop="1" thickBot="1" x14ac:dyDescent="0.4">
      <c r="A18" s="16">
        <f>MAX(C18*D18*E18*F18*G18*H18*I18*J18,Factors!$B$4)</f>
        <v>9000</v>
      </c>
      <c r="B18" s="17" t="s">
        <v>29</v>
      </c>
      <c r="C18" s="18">
        <f>Factors!B2</f>
        <v>2000</v>
      </c>
      <c r="D18" s="19">
        <f>C7</f>
        <v>20</v>
      </c>
      <c r="E18" s="19">
        <f>VLOOKUP(C8,Factors!B7:D15,3)</f>
        <v>0.15</v>
      </c>
      <c r="F18" s="19">
        <f>IF(C9="Yes",1.5,1)</f>
        <v>1.5</v>
      </c>
      <c r="G18" s="19">
        <f>VLOOKUP(C10,Factors!B23:D24,3)</f>
        <v>1</v>
      </c>
      <c r="H18" s="19">
        <f>VLOOKUP(C11,Factors!B27:D28,3)</f>
        <v>1</v>
      </c>
      <c r="I18" s="19">
        <f>VLOOKUP(C12,Factors!B31:D32,2)</f>
        <v>1</v>
      </c>
      <c r="J18" s="20">
        <f>IF(C13&gt;H13,1,SQRT(H13/C13))</f>
        <v>1</v>
      </c>
      <c r="K18" s="21" t="s">
        <v>54</v>
      </c>
      <c r="N18" s="31"/>
    </row>
    <row r="19" spans="1:14" ht="16.5" thickTop="1" x14ac:dyDescent="0.25">
      <c r="A19" s="23">
        <f>C18*D18*E18*F18*G18*H18*I18*J18</f>
        <v>9000</v>
      </c>
    </row>
    <row r="21" spans="1:14" ht="18.75" x14ac:dyDescent="0.3">
      <c r="A21" s="24" t="s">
        <v>71</v>
      </c>
      <c r="B21" s="24"/>
      <c r="C21" s="25">
        <v>3</v>
      </c>
      <c r="D21" s="24" t="s">
        <v>72</v>
      </c>
    </row>
    <row r="22" spans="1:14" ht="18.75" customHeight="1" x14ac:dyDescent="0.3">
      <c r="A22" s="24" t="s">
        <v>73</v>
      </c>
      <c r="B22" s="24"/>
      <c r="C22" s="26">
        <f>A18*C21/12</f>
        <v>2250</v>
      </c>
      <c r="D22" s="24"/>
    </row>
    <row r="23" spans="1:14" ht="18.75" customHeight="1" x14ac:dyDescent="0.3">
      <c r="A23" s="44" t="s">
        <v>86</v>
      </c>
      <c r="B23" s="45"/>
      <c r="D23" s="24"/>
      <c r="E23" s="24"/>
    </row>
    <row r="24" spans="1:14" ht="18.75" customHeight="1" x14ac:dyDescent="0.3">
      <c r="A24" s="45"/>
      <c r="B24" s="45"/>
      <c r="C24" s="24">
        <f>PtMP!A18/PtP!A18</f>
        <v>180</v>
      </c>
    </row>
    <row r="25" spans="1:14" ht="18.75" customHeight="1" x14ac:dyDescent="0.25">
      <c r="A25" s="45"/>
      <c r="B25" s="45"/>
    </row>
    <row r="27" spans="1:14" x14ac:dyDescent="0.25">
      <c r="A27" s="4" t="s">
        <v>89</v>
      </c>
      <c r="B27" s="4"/>
      <c r="C27" s="4"/>
      <c r="D27" s="46" t="s">
        <v>90</v>
      </c>
    </row>
  </sheetData>
  <mergeCells count="1">
    <mergeCell ref="A23:B25"/>
  </mergeCells>
  <conditionalFormatting sqref="A18">
    <cfRule type="cellIs" dxfId="2" priority="2" operator="greaterThan">
      <formula>1000000</formula>
    </cfRule>
  </conditionalFormatting>
  <conditionalFormatting sqref="J18">
    <cfRule type="cellIs" dxfId="1" priority="1" operator="greaterThan">
      <formula>1</formula>
    </cfRule>
  </conditionalFormatting>
  <hyperlinks>
    <hyperlink ref="D27" r:id="rId1"/>
  </hyperlinks>
  <pageMargins left="0.7" right="0.7" top="0.75" bottom="0.75" header="0.3" footer="0.3"/>
  <pageSetup paperSize="9" orientation="portrait"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>
          <x14:formula1>
            <xm:f>Factors!$B$23:$B$24</xm:f>
          </x14:formula1>
          <xm:sqref>C10</xm:sqref>
        </x14:dataValidation>
        <x14:dataValidation type="list" allowBlank="1" showInputMessage="1" showErrorMessage="1">
          <x14:formula1>
            <xm:f>Factors!$B$27:$B$28</xm:f>
          </x14:formula1>
          <xm:sqref>C11</xm:sqref>
        </x14:dataValidation>
        <x14:dataValidation type="list" allowBlank="1" showInputMessage="1" showErrorMessage="1">
          <x14:formula1>
            <xm:f>Factors!$B$31:$B$32</xm:f>
          </x14:formula1>
          <xm:sqref>C12</xm:sqref>
        </x14:dataValidation>
        <x14:dataValidation type="list" allowBlank="1" showInputMessage="1" showErrorMessage="1">
          <x14:formula1>
            <xm:f>Factors!$C$18:$C$19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4"/>
  <sheetViews>
    <sheetView topLeftCell="A7" workbookViewId="0">
      <selection activeCell="A24" sqref="A24:D24"/>
    </sheetView>
  </sheetViews>
  <sheetFormatPr defaultRowHeight="15" x14ac:dyDescent="0.25"/>
  <cols>
    <col min="1" max="1" width="38.7109375" customWidth="1"/>
    <col min="2" max="2" width="12.7109375" customWidth="1"/>
    <col min="3" max="3" width="16.7109375" customWidth="1"/>
    <col min="4" max="4" width="8.7109375" customWidth="1"/>
    <col min="5" max="5" width="10.7109375" customWidth="1"/>
    <col min="6" max="6" width="12.7109375" customWidth="1"/>
    <col min="7" max="10" width="8.7109375" customWidth="1"/>
    <col min="11" max="11" width="4" customWidth="1"/>
  </cols>
  <sheetData>
    <row r="1" spans="1:11" ht="18.75" x14ac:dyDescent="0.3">
      <c r="A1" s="6" t="s">
        <v>47</v>
      </c>
      <c r="B1" s="6"/>
    </row>
    <row r="3" spans="1:11" ht="15.75" x14ac:dyDescent="0.25">
      <c r="A3" s="35" t="s">
        <v>87</v>
      </c>
    </row>
    <row r="4" spans="1:11" ht="15.75" x14ac:dyDescent="0.25">
      <c r="A4" s="35" t="s">
        <v>84</v>
      </c>
    </row>
    <row r="5" spans="1:11" ht="15.75" x14ac:dyDescent="0.25">
      <c r="A5" s="35" t="s">
        <v>55</v>
      </c>
    </row>
    <row r="7" spans="1:11" ht="21" customHeight="1" x14ac:dyDescent="0.35">
      <c r="A7" s="10" t="s">
        <v>27</v>
      </c>
      <c r="B7" s="8" t="s">
        <v>1</v>
      </c>
      <c r="C7" s="11">
        <v>20</v>
      </c>
      <c r="D7" s="10" t="s">
        <v>26</v>
      </c>
      <c r="E7" s="10"/>
      <c r="F7" s="10"/>
      <c r="G7" s="10"/>
      <c r="H7" s="10"/>
      <c r="I7" s="10"/>
      <c r="J7" s="10"/>
      <c r="K7" s="10"/>
    </row>
    <row r="8" spans="1:11" ht="21" customHeight="1" x14ac:dyDescent="0.35">
      <c r="A8" s="10" t="s">
        <v>25</v>
      </c>
      <c r="B8" s="8" t="s">
        <v>2</v>
      </c>
      <c r="C8" s="12">
        <v>17000</v>
      </c>
      <c r="D8" s="10" t="s">
        <v>26</v>
      </c>
      <c r="E8" s="10"/>
      <c r="F8" s="10"/>
      <c r="G8" s="10"/>
      <c r="H8" s="10"/>
      <c r="I8" s="32"/>
      <c r="J8" s="10"/>
      <c r="K8" s="10"/>
    </row>
    <row r="9" spans="1:11" ht="21" customHeight="1" x14ac:dyDescent="0.35">
      <c r="A9" s="10" t="s">
        <v>66</v>
      </c>
      <c r="B9" s="8" t="s">
        <v>5</v>
      </c>
      <c r="C9" s="13" t="s">
        <v>8</v>
      </c>
      <c r="D9" s="10" t="s">
        <v>38</v>
      </c>
      <c r="E9" s="10"/>
      <c r="F9" s="10"/>
      <c r="G9" s="10"/>
      <c r="H9" s="10"/>
      <c r="I9" s="10"/>
      <c r="J9" s="10"/>
      <c r="K9" s="10"/>
    </row>
    <row r="10" spans="1:11" ht="21" customHeight="1" x14ac:dyDescent="0.35">
      <c r="A10" s="10" t="s">
        <v>30</v>
      </c>
      <c r="B10" s="8" t="s">
        <v>10</v>
      </c>
      <c r="C10" s="13" t="s">
        <v>11</v>
      </c>
      <c r="D10" s="10" t="s">
        <v>39</v>
      </c>
      <c r="E10" s="10"/>
      <c r="F10" s="10"/>
      <c r="G10" s="10"/>
      <c r="H10" s="10"/>
      <c r="I10" s="10"/>
      <c r="J10" s="10"/>
      <c r="K10" s="10"/>
    </row>
    <row r="11" spans="1:11" ht="21" customHeight="1" x14ac:dyDescent="0.35">
      <c r="A11" s="10" t="s">
        <v>32</v>
      </c>
      <c r="B11" s="8" t="s">
        <v>16</v>
      </c>
      <c r="C11" s="13" t="s">
        <v>19</v>
      </c>
      <c r="D11" s="10" t="s">
        <v>40</v>
      </c>
      <c r="E11" s="10"/>
      <c r="F11" s="10"/>
      <c r="G11" s="10"/>
      <c r="H11" s="10"/>
      <c r="I11" s="10"/>
      <c r="J11" s="10"/>
      <c r="K11" s="10"/>
    </row>
    <row r="12" spans="1:11" ht="21" customHeight="1" x14ac:dyDescent="0.35">
      <c r="A12" s="10" t="s">
        <v>31</v>
      </c>
      <c r="B12" s="8" t="s">
        <v>21</v>
      </c>
      <c r="C12" s="13" t="s">
        <v>37</v>
      </c>
      <c r="D12" s="10" t="s">
        <v>41</v>
      </c>
      <c r="E12" s="10"/>
      <c r="F12" s="10" t="s">
        <v>53</v>
      </c>
      <c r="G12" s="10"/>
      <c r="H12" s="10" t="s">
        <v>56</v>
      </c>
      <c r="I12" s="10"/>
      <c r="J12" s="10"/>
      <c r="K12" s="10"/>
    </row>
    <row r="13" spans="1:11" ht="21" customHeight="1" x14ac:dyDescent="0.35">
      <c r="A13" s="10" t="s">
        <v>48</v>
      </c>
      <c r="B13" s="8" t="s">
        <v>49</v>
      </c>
      <c r="C13" s="12">
        <v>19000</v>
      </c>
      <c r="D13" s="10" t="s">
        <v>70</v>
      </c>
      <c r="E13" s="10"/>
      <c r="F13" s="14">
        <f>VLOOKUP(C13,Factors!B61:D68,1)</f>
        <v>10000</v>
      </c>
      <c r="G13" s="10" t="s">
        <v>70</v>
      </c>
      <c r="H13" s="10">
        <f>VLOOKUP(C13,Factors!B61:D68,3)</f>
        <v>180</v>
      </c>
      <c r="I13" s="10"/>
      <c r="J13" s="10"/>
      <c r="K13" s="10"/>
    </row>
    <row r="14" spans="1:11" ht="21" x14ac:dyDescent="0.3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21" x14ac:dyDescent="0.35">
      <c r="A15" s="8" t="s">
        <v>22</v>
      </c>
      <c r="B15" s="10"/>
      <c r="C15" s="15" t="s">
        <v>59</v>
      </c>
      <c r="D15" s="15" t="s">
        <v>60</v>
      </c>
      <c r="E15" s="15" t="s">
        <v>61</v>
      </c>
      <c r="F15" s="15" t="s">
        <v>62</v>
      </c>
      <c r="G15" s="15" t="s">
        <v>63</v>
      </c>
      <c r="H15" s="15" t="s">
        <v>64</v>
      </c>
      <c r="I15" s="15" t="s">
        <v>65</v>
      </c>
      <c r="J15" s="15" t="s">
        <v>49</v>
      </c>
      <c r="K15" s="10"/>
    </row>
    <row r="16" spans="1:11" ht="21" x14ac:dyDescent="0.3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21.75" thickBot="1" x14ac:dyDescent="0.4">
      <c r="A17" s="8" t="s">
        <v>58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22.5" thickTop="1" thickBot="1" x14ac:dyDescent="0.4">
      <c r="A18" s="16">
        <f>MAX(C18*D18*E18*F18*G18*H18*I18*J18,Factors!B4)</f>
        <v>1620000</v>
      </c>
      <c r="B18" s="17" t="s">
        <v>29</v>
      </c>
      <c r="C18" s="18">
        <f>Factors!B2</f>
        <v>2000</v>
      </c>
      <c r="D18" s="19">
        <f>C7</f>
        <v>20</v>
      </c>
      <c r="E18" s="19">
        <f>VLOOKUP(C8,Factors!B7:D15,3)</f>
        <v>0.15</v>
      </c>
      <c r="F18" s="19">
        <f>IF(C9="Yes",1.5,1)</f>
        <v>1.5</v>
      </c>
      <c r="G18" s="19">
        <f>VLOOKUP(C10,Factors!B23:D24,3)</f>
        <v>1</v>
      </c>
      <c r="H18" s="19">
        <f>VLOOKUP(C11,Factors!B27:D28,3)</f>
        <v>1</v>
      </c>
      <c r="I18" s="19">
        <f>VLOOKUP(C12,Factors!B31:D32,3)</f>
        <v>1</v>
      </c>
      <c r="J18" s="20">
        <f>VLOOKUP(C13,Factors!B61:D68,3)</f>
        <v>180</v>
      </c>
      <c r="K18" s="21" t="s">
        <v>54</v>
      </c>
    </row>
    <row r="19" spans="1:11" ht="15.75" thickTop="1" x14ac:dyDescent="0.25"/>
    <row r="21" spans="1:11" x14ac:dyDescent="0.25">
      <c r="A21" t="s">
        <v>82</v>
      </c>
      <c r="D21" s="30">
        <f>A18/120</f>
        <v>13500</v>
      </c>
      <c r="E21" t="s">
        <v>81</v>
      </c>
    </row>
    <row r="22" spans="1:11" x14ac:dyDescent="0.25">
      <c r="A22" t="s">
        <v>88</v>
      </c>
    </row>
    <row r="24" spans="1:11" x14ac:dyDescent="0.25">
      <c r="A24" s="4" t="s">
        <v>89</v>
      </c>
      <c r="B24" s="4"/>
      <c r="C24" s="4"/>
      <c r="D24" s="46" t="s">
        <v>90</v>
      </c>
    </row>
  </sheetData>
  <conditionalFormatting sqref="A18">
    <cfRule type="cellIs" dxfId="0" priority="1" operator="greaterThan">
      <formula>1000000</formula>
    </cfRule>
  </conditionalFormatting>
  <hyperlinks>
    <hyperlink ref="D24" r:id="rId1"/>
  </hyperlinks>
  <pageMargins left="0.7" right="0.7" top="0.75" bottom="0.75" header="0.3" footer="0.3"/>
  <pageSetup paperSize="9" orientation="landscape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Factors!$C$18:$C$19</xm:f>
          </x14:formula1>
          <xm:sqref>C9</xm:sqref>
        </x14:dataValidation>
        <x14:dataValidation type="list" allowBlank="1" showInputMessage="1" showErrorMessage="1">
          <x14:formula1>
            <xm:f>Factors!$B$31:$B$32</xm:f>
          </x14:formula1>
          <xm:sqref>C12</xm:sqref>
        </x14:dataValidation>
        <x14:dataValidation type="list" allowBlank="1" showInputMessage="1" showErrorMessage="1">
          <x14:formula1>
            <xm:f>Factors!$B$27:$B$28</xm:f>
          </x14:formula1>
          <xm:sqref>C11</xm:sqref>
        </x14:dataValidation>
        <x14:dataValidation type="list" allowBlank="1" showInputMessage="1" showErrorMessage="1">
          <x14:formula1>
            <xm:f>Factors!$B$23:$B$24</xm:f>
          </x14:formula1>
          <xm:sqref>C10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71"/>
  <sheetViews>
    <sheetView topLeftCell="A52" workbookViewId="0">
      <selection activeCell="J54" sqref="J54"/>
    </sheetView>
  </sheetViews>
  <sheetFormatPr defaultRowHeight="15" x14ac:dyDescent="0.25"/>
  <cols>
    <col min="2" max="2" width="14" customWidth="1"/>
    <col min="3" max="3" width="10.7109375" customWidth="1"/>
    <col min="6" max="6" width="10.7109375" bestFit="1" customWidth="1"/>
    <col min="8" max="8" width="10" bestFit="1" customWidth="1"/>
  </cols>
  <sheetData>
    <row r="2" spans="1:8" x14ac:dyDescent="0.25">
      <c r="A2" t="s">
        <v>0</v>
      </c>
      <c r="B2" s="1">
        <v>2000</v>
      </c>
      <c r="F2" s="4" t="s">
        <v>67</v>
      </c>
    </row>
    <row r="3" spans="1:8" x14ac:dyDescent="0.25">
      <c r="A3" t="s">
        <v>1</v>
      </c>
      <c r="F3" s="9">
        <v>40946</v>
      </c>
      <c r="G3" t="s">
        <v>68</v>
      </c>
      <c r="H3" t="s">
        <v>69</v>
      </c>
    </row>
    <row r="4" spans="1:8" x14ac:dyDescent="0.25">
      <c r="A4" t="s">
        <v>57</v>
      </c>
      <c r="B4" s="1">
        <v>120</v>
      </c>
    </row>
    <row r="6" spans="1:8" x14ac:dyDescent="0.25">
      <c r="A6" t="s">
        <v>2</v>
      </c>
      <c r="B6" s="5" t="s">
        <v>3</v>
      </c>
      <c r="C6" s="5" t="s">
        <v>4</v>
      </c>
      <c r="D6" s="5" t="s">
        <v>14</v>
      </c>
    </row>
    <row r="7" spans="1:8" x14ac:dyDescent="0.25">
      <c r="B7" s="2">
        <v>30</v>
      </c>
      <c r="C7" s="2">
        <v>174</v>
      </c>
      <c r="D7" s="3">
        <v>1</v>
      </c>
    </row>
    <row r="8" spans="1:8" x14ac:dyDescent="0.25">
      <c r="B8" s="2">
        <f>C7</f>
        <v>174</v>
      </c>
      <c r="C8" s="2">
        <v>880</v>
      </c>
      <c r="D8" s="3">
        <v>0.75</v>
      </c>
    </row>
    <row r="9" spans="1:8" x14ac:dyDescent="0.25">
      <c r="B9" s="2">
        <f t="shared" ref="B9:B15" si="0">C8</f>
        <v>880</v>
      </c>
      <c r="C9" s="2">
        <v>1800</v>
      </c>
      <c r="D9" s="3">
        <v>0.5</v>
      </c>
    </row>
    <row r="10" spans="1:8" x14ac:dyDescent="0.25">
      <c r="B10" s="2">
        <f t="shared" si="0"/>
        <v>1800</v>
      </c>
      <c r="C10" s="2">
        <v>5000</v>
      </c>
      <c r="D10" s="3">
        <v>0.4</v>
      </c>
      <c r="H10">
        <f>64000/1.25*2000/1000000</f>
        <v>102.4</v>
      </c>
    </row>
    <row r="11" spans="1:8" x14ac:dyDescent="0.25">
      <c r="B11" s="2">
        <f t="shared" si="0"/>
        <v>5000</v>
      </c>
      <c r="C11" s="2">
        <v>10000</v>
      </c>
      <c r="D11" s="3">
        <v>0.3</v>
      </c>
    </row>
    <row r="12" spans="1:8" x14ac:dyDescent="0.25">
      <c r="B12" s="2">
        <f t="shared" si="0"/>
        <v>10000</v>
      </c>
      <c r="C12" s="2">
        <v>17000</v>
      </c>
      <c r="D12" s="3">
        <v>0.2</v>
      </c>
    </row>
    <row r="13" spans="1:8" x14ac:dyDescent="0.25">
      <c r="B13" s="2">
        <f t="shared" si="0"/>
        <v>17000</v>
      </c>
      <c r="C13" s="2">
        <v>23000</v>
      </c>
      <c r="D13" s="3">
        <v>0.15</v>
      </c>
    </row>
    <row r="14" spans="1:8" x14ac:dyDescent="0.25">
      <c r="B14" s="2">
        <f t="shared" si="0"/>
        <v>23000</v>
      </c>
      <c r="C14" s="2">
        <v>30000</v>
      </c>
      <c r="D14" s="3">
        <v>0.1</v>
      </c>
    </row>
    <row r="15" spans="1:8" x14ac:dyDescent="0.25">
      <c r="B15" s="2">
        <f t="shared" si="0"/>
        <v>30000</v>
      </c>
      <c r="C15" s="2"/>
      <c r="D15" s="3">
        <v>0.05</v>
      </c>
    </row>
    <row r="17" spans="1:4" x14ac:dyDescent="0.25">
      <c r="A17" t="s">
        <v>5</v>
      </c>
      <c r="C17" s="5" t="s">
        <v>6</v>
      </c>
      <c r="D17" s="5" t="s">
        <v>7</v>
      </c>
    </row>
    <row r="18" spans="1:4" x14ac:dyDescent="0.25">
      <c r="C18" t="s">
        <v>9</v>
      </c>
      <c r="D18" s="3">
        <v>1</v>
      </c>
    </row>
    <row r="19" spans="1:4" x14ac:dyDescent="0.25">
      <c r="C19" t="s">
        <v>8</v>
      </c>
      <c r="D19" s="3">
        <v>1.5</v>
      </c>
    </row>
    <row r="22" spans="1:4" x14ac:dyDescent="0.25">
      <c r="A22" t="s">
        <v>10</v>
      </c>
      <c r="B22" s="5" t="s">
        <v>13</v>
      </c>
      <c r="C22" s="5"/>
      <c r="D22" s="5" t="s">
        <v>15</v>
      </c>
    </row>
    <row r="23" spans="1:4" x14ac:dyDescent="0.25">
      <c r="B23" t="s">
        <v>11</v>
      </c>
      <c r="D23" s="3">
        <v>1</v>
      </c>
    </row>
    <row r="24" spans="1:4" x14ac:dyDescent="0.25">
      <c r="B24" t="s">
        <v>12</v>
      </c>
      <c r="D24" s="3">
        <v>0.1</v>
      </c>
    </row>
    <row r="26" spans="1:4" x14ac:dyDescent="0.25">
      <c r="A26" t="s">
        <v>16</v>
      </c>
      <c r="B26" s="5" t="s">
        <v>17</v>
      </c>
      <c r="C26" s="5"/>
      <c r="D26" s="5" t="s">
        <v>18</v>
      </c>
    </row>
    <row r="27" spans="1:4" x14ac:dyDescent="0.25">
      <c r="B27" t="s">
        <v>19</v>
      </c>
      <c r="D27" s="3">
        <v>1</v>
      </c>
    </row>
    <row r="28" spans="1:4" x14ac:dyDescent="0.25">
      <c r="B28" t="s">
        <v>20</v>
      </c>
      <c r="D28" s="3">
        <v>0.5</v>
      </c>
    </row>
    <row r="30" spans="1:4" x14ac:dyDescent="0.25">
      <c r="A30" t="s">
        <v>21</v>
      </c>
      <c r="B30" s="5" t="s">
        <v>21</v>
      </c>
      <c r="C30" s="5" t="s">
        <v>34</v>
      </c>
      <c r="D30" s="5" t="s">
        <v>35</v>
      </c>
    </row>
    <row r="31" spans="1:4" x14ac:dyDescent="0.25">
      <c r="B31" t="s">
        <v>37</v>
      </c>
      <c r="C31" s="3">
        <v>1</v>
      </c>
      <c r="D31" s="3">
        <v>1</v>
      </c>
    </row>
    <row r="32" spans="1:4" x14ac:dyDescent="0.25">
      <c r="B32" t="s">
        <v>36</v>
      </c>
      <c r="C32" s="3">
        <v>0.75</v>
      </c>
      <c r="D32" s="3">
        <v>0.5</v>
      </c>
    </row>
    <row r="34" spans="1:8" x14ac:dyDescent="0.25">
      <c r="A34" t="s">
        <v>23</v>
      </c>
      <c r="B34" s="5" t="s">
        <v>42</v>
      </c>
      <c r="C34" s="5"/>
      <c r="D34" s="5" t="s">
        <v>43</v>
      </c>
    </row>
    <row r="35" spans="1:8" x14ac:dyDescent="0.25">
      <c r="B35">
        <v>400</v>
      </c>
      <c r="D35">
        <v>100</v>
      </c>
      <c r="F35">
        <v>38000</v>
      </c>
      <c r="H35">
        <v>0</v>
      </c>
    </row>
    <row r="36" spans="1:8" x14ac:dyDescent="0.25">
      <c r="B36">
        <v>800</v>
      </c>
      <c r="D36">
        <v>60</v>
      </c>
      <c r="F36">
        <v>32000</v>
      </c>
      <c r="H36">
        <v>1</v>
      </c>
    </row>
    <row r="37" spans="1:8" x14ac:dyDescent="0.25">
      <c r="B37">
        <v>1400</v>
      </c>
      <c r="D37">
        <v>30</v>
      </c>
      <c r="F37">
        <v>31000</v>
      </c>
      <c r="H37">
        <v>1.5</v>
      </c>
    </row>
    <row r="38" spans="1:8" x14ac:dyDescent="0.25">
      <c r="B38">
        <v>1600</v>
      </c>
      <c r="D38">
        <v>30</v>
      </c>
      <c r="F38">
        <v>28000</v>
      </c>
      <c r="H38">
        <v>2</v>
      </c>
    </row>
    <row r="39" spans="1:8" x14ac:dyDescent="0.25">
      <c r="B39">
        <v>2000</v>
      </c>
      <c r="D39">
        <v>30</v>
      </c>
      <c r="F39">
        <v>26000</v>
      </c>
      <c r="H39">
        <v>3</v>
      </c>
    </row>
    <row r="40" spans="1:8" x14ac:dyDescent="0.25">
      <c r="B40">
        <v>4000</v>
      </c>
      <c r="D40">
        <v>16</v>
      </c>
      <c r="F40">
        <v>25000</v>
      </c>
      <c r="H40">
        <v>3</v>
      </c>
    </row>
    <row r="41" spans="1:8" x14ac:dyDescent="0.25">
      <c r="B41">
        <v>5000</v>
      </c>
      <c r="D41">
        <v>16</v>
      </c>
      <c r="F41">
        <v>23000</v>
      </c>
      <c r="H41">
        <v>3</v>
      </c>
    </row>
    <row r="42" spans="1:8" x14ac:dyDescent="0.25">
      <c r="B42">
        <v>7500</v>
      </c>
      <c r="D42">
        <v>14</v>
      </c>
      <c r="F42">
        <v>22000</v>
      </c>
      <c r="H42">
        <v>3</v>
      </c>
    </row>
    <row r="43" spans="1:8" x14ac:dyDescent="0.25">
      <c r="B43">
        <v>10000</v>
      </c>
      <c r="D43">
        <v>10</v>
      </c>
      <c r="F43">
        <v>18000</v>
      </c>
      <c r="H43">
        <v>4</v>
      </c>
    </row>
    <row r="44" spans="1:8" x14ac:dyDescent="0.25">
      <c r="B44">
        <v>11000</v>
      </c>
      <c r="D44">
        <v>10</v>
      </c>
      <c r="F44">
        <v>17000</v>
      </c>
      <c r="H44">
        <v>4</v>
      </c>
    </row>
    <row r="45" spans="1:8" x14ac:dyDescent="0.25">
      <c r="B45">
        <v>13000</v>
      </c>
      <c r="D45">
        <v>9</v>
      </c>
      <c r="F45">
        <v>15000</v>
      </c>
      <c r="H45">
        <v>9</v>
      </c>
    </row>
    <row r="46" spans="1:8" x14ac:dyDescent="0.25">
      <c r="B46">
        <v>14000</v>
      </c>
      <c r="D46">
        <v>9</v>
      </c>
      <c r="F46">
        <v>14000</v>
      </c>
      <c r="H46">
        <v>9</v>
      </c>
    </row>
    <row r="47" spans="1:8" x14ac:dyDescent="0.25">
      <c r="B47">
        <v>15000</v>
      </c>
      <c r="D47">
        <v>9</v>
      </c>
      <c r="F47">
        <v>13000</v>
      </c>
      <c r="H47">
        <v>9</v>
      </c>
    </row>
    <row r="48" spans="1:8" x14ac:dyDescent="0.25">
      <c r="B48">
        <v>17000</v>
      </c>
      <c r="D48">
        <v>4</v>
      </c>
      <c r="F48">
        <v>11000</v>
      </c>
      <c r="H48">
        <v>10</v>
      </c>
    </row>
    <row r="49" spans="1:9" x14ac:dyDescent="0.25">
      <c r="B49">
        <v>18000</v>
      </c>
      <c r="D49">
        <v>4</v>
      </c>
      <c r="F49">
        <v>10000</v>
      </c>
      <c r="H49">
        <v>10</v>
      </c>
    </row>
    <row r="50" spans="1:9" x14ac:dyDescent="0.25">
      <c r="B50">
        <v>22000</v>
      </c>
      <c r="D50">
        <v>3</v>
      </c>
      <c r="F50">
        <v>7500</v>
      </c>
      <c r="H50">
        <v>14</v>
      </c>
    </row>
    <row r="51" spans="1:9" x14ac:dyDescent="0.25">
      <c r="B51">
        <v>23000</v>
      </c>
      <c r="D51">
        <v>3</v>
      </c>
      <c r="F51">
        <v>5000</v>
      </c>
      <c r="H51">
        <v>16</v>
      </c>
    </row>
    <row r="52" spans="1:9" x14ac:dyDescent="0.25">
      <c r="B52">
        <v>25000</v>
      </c>
      <c r="D52">
        <v>3</v>
      </c>
      <c r="F52">
        <v>4000</v>
      </c>
      <c r="H52">
        <v>16</v>
      </c>
    </row>
    <row r="53" spans="1:9" x14ac:dyDescent="0.25">
      <c r="B53">
        <v>26000</v>
      </c>
      <c r="D53">
        <v>3</v>
      </c>
      <c r="F53">
        <v>2000</v>
      </c>
      <c r="H53">
        <v>30</v>
      </c>
    </row>
    <row r="54" spans="1:9" x14ac:dyDescent="0.25">
      <c r="B54" s="7">
        <v>27000</v>
      </c>
      <c r="C54" s="7"/>
      <c r="D54" s="7">
        <v>2</v>
      </c>
      <c r="I54" t="s">
        <v>92</v>
      </c>
    </row>
    <row r="55" spans="1:9" x14ac:dyDescent="0.25">
      <c r="B55">
        <v>28000</v>
      </c>
      <c r="D55">
        <v>2</v>
      </c>
      <c r="F55">
        <v>1600</v>
      </c>
      <c r="H55">
        <v>30</v>
      </c>
    </row>
    <row r="56" spans="1:9" x14ac:dyDescent="0.25">
      <c r="B56">
        <v>31000</v>
      </c>
      <c r="D56">
        <v>1.5</v>
      </c>
      <c r="F56">
        <v>1400</v>
      </c>
      <c r="H56">
        <v>30</v>
      </c>
    </row>
    <row r="57" spans="1:9" x14ac:dyDescent="0.25">
      <c r="B57">
        <v>32000</v>
      </c>
      <c r="D57">
        <v>1</v>
      </c>
      <c r="F57">
        <v>800</v>
      </c>
      <c r="H57">
        <v>60</v>
      </c>
    </row>
    <row r="58" spans="1:9" x14ac:dyDescent="0.25">
      <c r="B58">
        <v>38000</v>
      </c>
      <c r="F58">
        <v>400</v>
      </c>
      <c r="H58">
        <v>100</v>
      </c>
    </row>
    <row r="60" spans="1:9" x14ac:dyDescent="0.25">
      <c r="A60" t="s">
        <v>49</v>
      </c>
      <c r="B60" s="5" t="s">
        <v>50</v>
      </c>
      <c r="C60" s="5" t="s">
        <v>51</v>
      </c>
      <c r="D60" s="5" t="s">
        <v>52</v>
      </c>
      <c r="F60" s="5" t="s">
        <v>78</v>
      </c>
      <c r="G60" s="5" t="s">
        <v>79</v>
      </c>
      <c r="H60" s="5" t="s">
        <v>80</v>
      </c>
    </row>
    <row r="61" spans="1:9" x14ac:dyDescent="0.25">
      <c r="B61" s="2">
        <v>0</v>
      </c>
      <c r="C61" s="2">
        <v>1</v>
      </c>
      <c r="D61">
        <v>0.6</v>
      </c>
    </row>
    <row r="62" spans="1:9" x14ac:dyDescent="0.25">
      <c r="B62" s="2">
        <v>1</v>
      </c>
      <c r="C62" s="2">
        <v>10</v>
      </c>
      <c r="D62">
        <v>2</v>
      </c>
      <c r="F62" s="3">
        <f>D62/D61</f>
        <v>3.3333333333333335</v>
      </c>
      <c r="G62" s="3"/>
    </row>
    <row r="63" spans="1:9" x14ac:dyDescent="0.25">
      <c r="B63" s="2">
        <v>10</v>
      </c>
      <c r="C63" s="2">
        <v>100</v>
      </c>
      <c r="D63">
        <v>6</v>
      </c>
      <c r="F63" s="3">
        <f t="shared" ref="F63:F68" si="1">D63/D62</f>
        <v>3</v>
      </c>
      <c r="G63" s="3">
        <f>D63/D61</f>
        <v>10</v>
      </c>
    </row>
    <row r="64" spans="1:9" x14ac:dyDescent="0.25">
      <c r="B64" s="2">
        <v>100</v>
      </c>
      <c r="C64" s="2">
        <v>1000</v>
      </c>
      <c r="D64">
        <v>18</v>
      </c>
      <c r="F64" s="3">
        <f t="shared" si="1"/>
        <v>3</v>
      </c>
      <c r="G64" s="3">
        <f t="shared" ref="G64:G68" si="2">D64/D62</f>
        <v>9</v>
      </c>
      <c r="H64" s="3">
        <f>D64/D61</f>
        <v>30</v>
      </c>
    </row>
    <row r="65" spans="1:9" x14ac:dyDescent="0.25">
      <c r="B65" s="2">
        <v>1000</v>
      </c>
      <c r="C65" s="2">
        <v>10000</v>
      </c>
      <c r="D65">
        <v>56</v>
      </c>
      <c r="F65" s="3">
        <f t="shared" si="1"/>
        <v>3.1111111111111112</v>
      </c>
      <c r="G65" s="3">
        <f t="shared" si="2"/>
        <v>9.3333333333333339</v>
      </c>
      <c r="H65" s="3">
        <f t="shared" ref="H65:H68" si="3">D65/D62</f>
        <v>28</v>
      </c>
    </row>
    <row r="66" spans="1:9" x14ac:dyDescent="0.25">
      <c r="B66" s="2">
        <v>10000</v>
      </c>
      <c r="C66" s="2">
        <v>100000</v>
      </c>
      <c r="D66">
        <v>180</v>
      </c>
      <c r="F66" s="3">
        <f t="shared" si="1"/>
        <v>3.2142857142857144</v>
      </c>
      <c r="G66" s="3">
        <f t="shared" si="2"/>
        <v>10</v>
      </c>
      <c r="H66" s="3">
        <f t="shared" si="3"/>
        <v>30</v>
      </c>
    </row>
    <row r="67" spans="1:9" x14ac:dyDescent="0.25">
      <c r="B67" s="2">
        <v>100000</v>
      </c>
      <c r="C67" s="2">
        <v>500000</v>
      </c>
      <c r="D67">
        <v>400</v>
      </c>
      <c r="F67" s="3">
        <f t="shared" si="1"/>
        <v>2.2222222222222223</v>
      </c>
      <c r="G67" s="3">
        <f t="shared" si="2"/>
        <v>7.1428571428571432</v>
      </c>
      <c r="H67" s="3">
        <f t="shared" si="3"/>
        <v>22.222222222222221</v>
      </c>
    </row>
    <row r="68" spans="1:9" x14ac:dyDescent="0.25">
      <c r="B68" s="2">
        <v>500000</v>
      </c>
      <c r="C68" s="2"/>
      <c r="D68">
        <v>600</v>
      </c>
      <c r="F68" s="3">
        <f t="shared" si="1"/>
        <v>1.5</v>
      </c>
      <c r="G68" s="3">
        <f t="shared" si="2"/>
        <v>3.3333333333333335</v>
      </c>
      <c r="H68" s="3">
        <f t="shared" si="3"/>
        <v>10.714285714285714</v>
      </c>
    </row>
    <row r="70" spans="1:9" x14ac:dyDescent="0.25">
      <c r="A70" s="4" t="s">
        <v>89</v>
      </c>
      <c r="B70" s="4"/>
      <c r="C70" s="4"/>
      <c r="I70" s="46" t="s">
        <v>90</v>
      </c>
    </row>
    <row r="71" spans="1:9" x14ac:dyDescent="0.25">
      <c r="A71" s="4" t="s">
        <v>91</v>
      </c>
    </row>
  </sheetData>
  <sortState ref="F34:H56">
    <sortCondition descending="1" ref="F34:F56"/>
  </sortState>
  <hyperlinks>
    <hyperlink ref="I70" r:id="rId1"/>
  </hyperlinks>
  <pageMargins left="0.7" right="0.7" top="0.75" bottom="0.75" header="0.3" footer="0.3"/>
  <pageSetup paperSize="9" orientation="portrait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A18" sqref="A18:I18"/>
    </sheetView>
  </sheetViews>
  <sheetFormatPr defaultRowHeight="15" x14ac:dyDescent="0.25"/>
  <cols>
    <col min="1" max="1" width="7.5703125" customWidth="1"/>
    <col min="2" max="2" width="5.7109375" customWidth="1"/>
    <col min="3" max="3" width="7.85546875" customWidth="1"/>
    <col min="4" max="4" width="4.7109375" customWidth="1"/>
    <col min="5" max="5" width="12.140625" customWidth="1"/>
    <col min="6" max="6" width="10.85546875" customWidth="1"/>
    <col min="7" max="7" width="12.28515625" customWidth="1"/>
    <col min="8" max="8" width="9.7109375" customWidth="1"/>
    <col min="10" max="10" width="17.42578125" customWidth="1"/>
    <col min="14" max="14" width="11.140625" customWidth="1"/>
  </cols>
  <sheetData>
    <row r="1" spans="1:16" ht="21" x14ac:dyDescent="0.35">
      <c r="B1" s="8" t="s">
        <v>75</v>
      </c>
    </row>
    <row r="3" spans="1:16" ht="21" x14ac:dyDescent="0.35">
      <c r="A3" s="8" t="s">
        <v>0</v>
      </c>
      <c r="B3" s="8" t="s">
        <v>1</v>
      </c>
      <c r="C3" s="8" t="s">
        <v>2</v>
      </c>
      <c r="D3" s="8" t="s">
        <v>5</v>
      </c>
      <c r="E3" s="8" t="s">
        <v>10</v>
      </c>
      <c r="F3" s="8" t="s">
        <v>16</v>
      </c>
      <c r="G3" s="8" t="s">
        <v>21</v>
      </c>
      <c r="H3" s="8"/>
    </row>
    <row r="4" spans="1:16" x14ac:dyDescent="0.25">
      <c r="A4" s="33">
        <f>Factors!$B$2</f>
        <v>2000</v>
      </c>
      <c r="B4" s="33">
        <v>40</v>
      </c>
      <c r="C4" s="33">
        <v>3500</v>
      </c>
      <c r="D4" s="34" t="s">
        <v>8</v>
      </c>
      <c r="E4" s="34" t="s">
        <v>11</v>
      </c>
      <c r="F4" s="34" t="s">
        <v>20</v>
      </c>
      <c r="G4" s="34" t="s">
        <v>37</v>
      </c>
    </row>
    <row r="7" spans="1:16" ht="23.25" x14ac:dyDescent="0.35">
      <c r="A7" s="8" t="s">
        <v>0</v>
      </c>
      <c r="B7" s="8" t="s">
        <v>1</v>
      </c>
      <c r="C7" s="8" t="s">
        <v>2</v>
      </c>
      <c r="D7" s="8" t="s">
        <v>5</v>
      </c>
      <c r="E7" s="8" t="s">
        <v>10</v>
      </c>
      <c r="F7" s="8" t="s">
        <v>16</v>
      </c>
      <c r="G7" s="8" t="s">
        <v>21</v>
      </c>
      <c r="H7" s="8" t="s">
        <v>49</v>
      </c>
      <c r="J7" s="8" t="s">
        <v>74</v>
      </c>
      <c r="L7" s="8" t="s">
        <v>76</v>
      </c>
      <c r="N7" s="8" t="s">
        <v>77</v>
      </c>
    </row>
    <row r="8" spans="1:16" ht="18.75" x14ac:dyDescent="0.3">
      <c r="A8">
        <f>Factors!$B$2</f>
        <v>2000</v>
      </c>
      <c r="B8">
        <f>$B$4</f>
        <v>40</v>
      </c>
      <c r="C8">
        <f>VLOOKUP($C$4,Factors!$B$7:$D$15,3)</f>
        <v>0.4</v>
      </c>
      <c r="D8">
        <f>IF($D$4="Yes",1.5,1)</f>
        <v>1.5</v>
      </c>
      <c r="E8">
        <f>VLOOKUP($E$4,Factors!$B$23:$D$24,3)</f>
        <v>1</v>
      </c>
      <c r="F8">
        <f>VLOOKUP($F$4,Factors!$B$27:$D$28,3)</f>
        <v>0.5</v>
      </c>
      <c r="G8">
        <f>VLOOKUP($G$4,Factors!$B$31:$D$32,3)</f>
        <v>1</v>
      </c>
      <c r="H8" s="28">
        <f>VLOOKUP(L8-0.1,Factors!$B$61:$D$68,3)</f>
        <v>0.6</v>
      </c>
      <c r="J8" s="27">
        <f>MAX(A8*B8*C8*D8*E8*F8*G8*H8,Factors!$B$4)</f>
        <v>14400</v>
      </c>
      <c r="L8" s="2">
        <v>1</v>
      </c>
      <c r="N8" s="29">
        <f>J8/L8</f>
        <v>14400</v>
      </c>
      <c r="O8" s="29">
        <f>N8/450</f>
        <v>32</v>
      </c>
      <c r="P8" s="29">
        <f>O8/12</f>
        <v>2.6666666666666665</v>
      </c>
    </row>
    <row r="9" spans="1:16" ht="18.75" x14ac:dyDescent="0.3">
      <c r="A9">
        <f>Factors!$B$2</f>
        <v>2000</v>
      </c>
      <c r="B9">
        <f t="shared" ref="B9:B15" si="0">$B$4</f>
        <v>40</v>
      </c>
      <c r="C9">
        <f>VLOOKUP($C$4,Factors!$B$7:$D$15,3)</f>
        <v>0.4</v>
      </c>
      <c r="D9">
        <f t="shared" ref="D9:D15" si="1">IF($D$4="Yes",1.5,1)</f>
        <v>1.5</v>
      </c>
      <c r="E9">
        <f>VLOOKUP($E$4,Factors!$B$23:$D$24,3)</f>
        <v>1</v>
      </c>
      <c r="F9">
        <f>VLOOKUP($F$4,Factors!$B$27:$D$28,3)</f>
        <v>0.5</v>
      </c>
      <c r="G9">
        <f>VLOOKUP($G$4,Factors!$B$31:$D$32,3)</f>
        <v>1</v>
      </c>
      <c r="H9" s="2">
        <f>VLOOKUP(L9-0.1,Factors!$B$61:$D$68,3)</f>
        <v>2</v>
      </c>
      <c r="J9" s="27">
        <f>MAX(A9*B9*C9*D9*E9*F9*G9*H9,Factors!$B$4)</f>
        <v>48000</v>
      </c>
      <c r="L9" s="2">
        <v>10</v>
      </c>
      <c r="N9" s="29">
        <f t="shared" ref="N9:N15" si="2">J9/L9</f>
        <v>4800</v>
      </c>
      <c r="O9" s="29">
        <f t="shared" ref="O9:O15" si="3">N9/450</f>
        <v>10.666666666666666</v>
      </c>
      <c r="P9" s="29">
        <f t="shared" ref="P9:P15" si="4">O9/12</f>
        <v>0.88888888888888884</v>
      </c>
    </row>
    <row r="10" spans="1:16" ht="18.75" x14ac:dyDescent="0.3">
      <c r="A10">
        <f>Factors!$B$2</f>
        <v>2000</v>
      </c>
      <c r="B10">
        <f t="shared" si="0"/>
        <v>40</v>
      </c>
      <c r="C10">
        <f>VLOOKUP($C$4,Factors!$B$7:$D$15,3)</f>
        <v>0.4</v>
      </c>
      <c r="D10">
        <f t="shared" si="1"/>
        <v>1.5</v>
      </c>
      <c r="E10">
        <f>VLOOKUP($E$4,Factors!$B$23:$D$24,3)</f>
        <v>1</v>
      </c>
      <c r="F10">
        <f>VLOOKUP($F$4,Factors!$B$27:$D$28,3)</f>
        <v>0.5</v>
      </c>
      <c r="G10">
        <f>VLOOKUP($G$4,Factors!$B$31:$D$32,3)</f>
        <v>1</v>
      </c>
      <c r="H10" s="2">
        <f>VLOOKUP(L10-0.1,Factors!$B$61:$D$68,3)</f>
        <v>6</v>
      </c>
      <c r="J10" s="27">
        <f>MAX(A10*B10*C10*D10*E10*F10*G10*H10,Factors!$B$4)</f>
        <v>144000</v>
      </c>
      <c r="L10" s="2">
        <v>100</v>
      </c>
      <c r="N10" s="29">
        <f t="shared" si="2"/>
        <v>1440</v>
      </c>
      <c r="O10" s="29">
        <f t="shared" si="3"/>
        <v>3.2</v>
      </c>
      <c r="P10" s="29">
        <f t="shared" si="4"/>
        <v>0.26666666666666666</v>
      </c>
    </row>
    <row r="11" spans="1:16" ht="18.75" x14ac:dyDescent="0.3">
      <c r="A11">
        <f>Factors!$B$2</f>
        <v>2000</v>
      </c>
      <c r="B11">
        <f t="shared" si="0"/>
        <v>40</v>
      </c>
      <c r="C11">
        <f>VLOOKUP($C$4,Factors!$B$7:$D$15,3)</f>
        <v>0.4</v>
      </c>
      <c r="D11">
        <f t="shared" si="1"/>
        <v>1.5</v>
      </c>
      <c r="E11">
        <f>VLOOKUP($E$4,Factors!$B$23:$D$24,3)</f>
        <v>1</v>
      </c>
      <c r="F11">
        <f>VLOOKUP($F$4,Factors!$B$27:$D$28,3)</f>
        <v>0.5</v>
      </c>
      <c r="G11">
        <f>VLOOKUP($G$4,Factors!$B$31:$D$32,3)</f>
        <v>1</v>
      </c>
      <c r="H11" s="2">
        <f>VLOOKUP(L11-0.1,Factors!$B$61:$D$68,3)</f>
        <v>18</v>
      </c>
      <c r="J11" s="27">
        <f>MAX(A11*B11*C11*D11*E11*F11*G11*H11,Factors!$B$4)</f>
        <v>432000</v>
      </c>
      <c r="L11" s="2">
        <v>1000</v>
      </c>
      <c r="N11" s="29">
        <f t="shared" si="2"/>
        <v>432</v>
      </c>
      <c r="O11" s="29">
        <f t="shared" si="3"/>
        <v>0.96</v>
      </c>
      <c r="P11" s="29">
        <f t="shared" si="4"/>
        <v>0.08</v>
      </c>
    </row>
    <row r="12" spans="1:16" ht="18.75" x14ac:dyDescent="0.3">
      <c r="A12">
        <f>Factors!$B$2</f>
        <v>2000</v>
      </c>
      <c r="B12">
        <f t="shared" si="0"/>
        <v>40</v>
      </c>
      <c r="C12">
        <f>VLOOKUP($C$4,Factors!$B$7:$D$15,3)</f>
        <v>0.4</v>
      </c>
      <c r="D12">
        <f t="shared" si="1"/>
        <v>1.5</v>
      </c>
      <c r="E12">
        <f>VLOOKUP($E$4,Factors!$B$23:$D$24,3)</f>
        <v>1</v>
      </c>
      <c r="F12">
        <f>VLOOKUP($F$4,Factors!$B$27:$D$28,3)</f>
        <v>0.5</v>
      </c>
      <c r="G12">
        <f>VLOOKUP($G$4,Factors!$B$31:$D$32,3)</f>
        <v>1</v>
      </c>
      <c r="H12" s="2">
        <f>VLOOKUP(L12-0.1,Factors!$B$61:$D$68,3)</f>
        <v>56</v>
      </c>
      <c r="J12" s="27">
        <f>MAX(A12*B12*C12*D12*E12*F12*G12*H12,Factors!$B$4)</f>
        <v>1344000</v>
      </c>
      <c r="L12" s="2">
        <v>10000</v>
      </c>
      <c r="N12" s="29">
        <f t="shared" si="2"/>
        <v>134.4</v>
      </c>
      <c r="O12" s="29">
        <f t="shared" si="3"/>
        <v>0.29866666666666669</v>
      </c>
      <c r="P12" s="29">
        <f t="shared" si="4"/>
        <v>2.4888888888888891E-2</v>
      </c>
    </row>
    <row r="13" spans="1:16" ht="18.75" x14ac:dyDescent="0.3">
      <c r="A13">
        <f>Factors!$B$2</f>
        <v>2000</v>
      </c>
      <c r="B13">
        <f t="shared" si="0"/>
        <v>40</v>
      </c>
      <c r="C13">
        <f>VLOOKUP($C$4,Factors!$B$7:$D$15,3)</f>
        <v>0.4</v>
      </c>
      <c r="D13">
        <f t="shared" si="1"/>
        <v>1.5</v>
      </c>
      <c r="E13">
        <f>VLOOKUP($E$4,Factors!$B$23:$D$24,3)</f>
        <v>1</v>
      </c>
      <c r="F13">
        <f>VLOOKUP($F$4,Factors!$B$27:$D$28,3)</f>
        <v>0.5</v>
      </c>
      <c r="G13">
        <f>VLOOKUP($G$4,Factors!$B$31:$D$32,3)</f>
        <v>1</v>
      </c>
      <c r="H13" s="2">
        <f>VLOOKUP(L13-0.1,Factors!$B$61:$D$68,3)</f>
        <v>180</v>
      </c>
      <c r="J13" s="27">
        <f>MAX(A13*B13*C13*D13*E13*F13*G13*H13,Factors!$B$4)</f>
        <v>4320000</v>
      </c>
      <c r="L13" s="2">
        <v>100000</v>
      </c>
      <c r="N13" s="29">
        <f t="shared" si="2"/>
        <v>43.2</v>
      </c>
      <c r="O13" s="29">
        <f t="shared" si="3"/>
        <v>9.6000000000000002E-2</v>
      </c>
      <c r="P13" s="29">
        <f t="shared" si="4"/>
        <v>8.0000000000000002E-3</v>
      </c>
    </row>
    <row r="14" spans="1:16" ht="18.75" x14ac:dyDescent="0.3">
      <c r="A14">
        <f>Factors!$B$2</f>
        <v>2000</v>
      </c>
      <c r="B14">
        <f t="shared" si="0"/>
        <v>40</v>
      </c>
      <c r="C14">
        <f>VLOOKUP($C$4,Factors!$B$7:$D$15,3)</f>
        <v>0.4</v>
      </c>
      <c r="D14">
        <f t="shared" si="1"/>
        <v>1.5</v>
      </c>
      <c r="E14">
        <f>VLOOKUP($E$4,Factors!$B$23:$D$24,3)</f>
        <v>1</v>
      </c>
      <c r="F14">
        <f>VLOOKUP($F$4,Factors!$B$27:$D$28,3)</f>
        <v>0.5</v>
      </c>
      <c r="G14">
        <f>VLOOKUP($G$4,Factors!$B$31:$D$32,3)</f>
        <v>1</v>
      </c>
      <c r="H14" s="2">
        <f>VLOOKUP(L14-0.1,Factors!$B$61:$D$68,3)</f>
        <v>400</v>
      </c>
      <c r="J14" s="27">
        <f>MAX(A14*B14*C14*D14*E14*F14*G14*H14,Factors!$B$4)</f>
        <v>9600000</v>
      </c>
      <c r="L14" s="2">
        <v>500000</v>
      </c>
      <c r="N14" s="29">
        <f t="shared" si="2"/>
        <v>19.2</v>
      </c>
      <c r="O14" s="29">
        <f t="shared" si="3"/>
        <v>4.2666666666666665E-2</v>
      </c>
      <c r="P14" s="29">
        <f t="shared" si="4"/>
        <v>3.5555555555555553E-3</v>
      </c>
    </row>
    <row r="15" spans="1:16" ht="18.75" x14ac:dyDescent="0.3">
      <c r="A15">
        <f>Factors!$B$2</f>
        <v>2000</v>
      </c>
      <c r="B15">
        <f t="shared" si="0"/>
        <v>40</v>
      </c>
      <c r="C15">
        <f>VLOOKUP($C$4,Factors!$B$7:$D$15,3)</f>
        <v>0.4</v>
      </c>
      <c r="D15">
        <f t="shared" si="1"/>
        <v>1.5</v>
      </c>
      <c r="E15">
        <f>VLOOKUP($E$4,Factors!$B$23:$D$24,3)</f>
        <v>1</v>
      </c>
      <c r="F15">
        <f>VLOOKUP($F$4,Factors!$B$27:$D$28,3)</f>
        <v>0.5</v>
      </c>
      <c r="G15">
        <f>VLOOKUP($G$4,Factors!$B$31:$D$32,3)</f>
        <v>1</v>
      </c>
      <c r="H15" s="2">
        <f>VLOOKUP(L15-0.1,Factors!$B$61:$D$68,3)</f>
        <v>600</v>
      </c>
      <c r="J15" s="27">
        <f>MAX(A15*B15*C15*D15*E15*F15*G15*H15,Factors!$B$4)</f>
        <v>14400000</v>
      </c>
      <c r="L15" s="2">
        <v>1200000</v>
      </c>
      <c r="N15" s="29">
        <f t="shared" si="2"/>
        <v>12</v>
      </c>
      <c r="O15" s="29">
        <f t="shared" si="3"/>
        <v>2.6666666666666668E-2</v>
      </c>
      <c r="P15" s="29">
        <f t="shared" si="4"/>
        <v>2.2222222222222222E-3</v>
      </c>
    </row>
    <row r="18" spans="1:9" x14ac:dyDescent="0.25">
      <c r="A18" s="4" t="s">
        <v>89</v>
      </c>
      <c r="B18" s="4"/>
      <c r="C18" s="4"/>
      <c r="I18" s="46" t="s">
        <v>90</v>
      </c>
    </row>
  </sheetData>
  <hyperlinks>
    <hyperlink ref="I18" r:id="rId1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Factors!$C$18:$C$19</xm:f>
          </x14:formula1>
          <xm:sqref>D4</xm:sqref>
        </x14:dataValidation>
        <x14:dataValidation type="list" allowBlank="1" showInputMessage="1" showErrorMessage="1">
          <x14:formula1>
            <xm:f>Factors!$B$23:$B$24</xm:f>
          </x14:formula1>
          <xm:sqref>E4</xm:sqref>
        </x14:dataValidation>
        <x14:dataValidation type="list" allowBlank="1" showInputMessage="1" showErrorMessage="1">
          <x14:formula1>
            <xm:f>Factors!$B$27:$B$28</xm:f>
          </x14:formula1>
          <xm:sqref>F4</xm:sqref>
        </x14:dataValidation>
        <x14:dataValidation type="list" allowBlank="1" showInputMessage="1" showErrorMessage="1">
          <x14:formula1>
            <xm:f>Factors!$B$31:$B$32</xm:f>
          </x14:formula1>
          <xm:sqref>G4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PtP</vt:lpstr>
      <vt:lpstr>PtMP</vt:lpstr>
      <vt:lpstr>Factors</vt:lpstr>
      <vt:lpstr>Area Costs</vt:lpstr>
    </vt:vector>
  </TitlesOfParts>
  <Company>ICASA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Stucke</dc:creator>
  <dc:description>Developed for ICASA in 2012 by WFS
William@stucke.co.za</dc:description>
  <cp:lastModifiedBy>William Stucke</cp:lastModifiedBy>
  <cp:lastPrinted>2012-07-05T11:08:47Z</cp:lastPrinted>
  <dcterms:created xsi:type="dcterms:W3CDTF">2012-02-27T09:11:53Z</dcterms:created>
  <dcterms:modified xsi:type="dcterms:W3CDTF">2016-06-07T14:41:47Z</dcterms:modified>
</cp:coreProperties>
</file>